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<sst xmlns="http://schemas.openxmlformats.org/spreadsheetml/2006/main" count="613" uniqueCount="215">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</sst>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115708951.02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101883729.06</v>
          </cell>
        </row>
      </sheetData>
      <sheetData sheetId="18">
        <row r="28">
          <cell r="C28">
            <v>3879803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E10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P114" sqref="P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80914.46</v>
      </c>
      <c r="G8" s="22">
        <f aca="true" t="shared" si="0" ref="G8:G30">F8-E8</f>
        <v>-34323.44000000002</v>
      </c>
      <c r="H8" s="51">
        <f>F8/E8*100</f>
        <v>70.21514623227253</v>
      </c>
      <c r="I8" s="36">
        <f aca="true" t="shared" si="1" ref="I8:I17">F8-D8</f>
        <v>-438414.83999999997</v>
      </c>
      <c r="J8" s="36">
        <f aca="true" t="shared" si="2" ref="J8:J14">F8/D8*100</f>
        <v>15.580569014688756</v>
      </c>
      <c r="K8" s="36">
        <f>F8-110917.9</f>
        <v>-30003.439999999988</v>
      </c>
      <c r="L8" s="136">
        <f>F8/110917.9</f>
        <v>0.7294986652289668</v>
      </c>
      <c r="M8" s="22">
        <f>M10+M19+M33+M56+M68+M30</f>
        <v>41173.10000000001</v>
      </c>
      <c r="N8" s="22">
        <f>N10+N19+N33+N56+N68+N30</f>
        <v>11601.210000000001</v>
      </c>
      <c r="O8" s="36">
        <f aca="true" t="shared" si="3" ref="O8:O71">N8-M8</f>
        <v>-29571.890000000014</v>
      </c>
      <c r="P8" s="36">
        <f>F8/M8*100</f>
        <v>196.52263249548852</v>
      </c>
      <c r="Q8" s="36">
        <f>N8-38338.6</f>
        <v>-26737.39</v>
      </c>
      <c r="R8" s="134">
        <f>N8/38338.6</f>
        <v>0.30259868644134114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65170.46</v>
      </c>
      <c r="G9" s="22">
        <f t="shared" si="0"/>
        <v>65170.46</v>
      </c>
      <c r="H9" s="20"/>
      <c r="I9" s="56">
        <f t="shared" si="1"/>
        <v>-353195.74</v>
      </c>
      <c r="J9" s="56">
        <f t="shared" si="2"/>
        <v>15.577372168210529</v>
      </c>
      <c r="K9" s="56"/>
      <c r="L9" s="135"/>
      <c r="M9" s="20">
        <f>M10+M17</f>
        <v>33586.40000000001</v>
      </c>
      <c r="N9" s="20">
        <f>N10+N17</f>
        <v>10424.470000000001</v>
      </c>
      <c r="O9" s="36">
        <f t="shared" si="3"/>
        <v>-23161.930000000008</v>
      </c>
      <c r="P9" s="56">
        <f>F9/M9*100</f>
        <v>194.03824166924701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65170.46</v>
      </c>
      <c r="G10" s="49">
        <f t="shared" si="0"/>
        <v>-28286.140000000007</v>
      </c>
      <c r="H10" s="40">
        <f aca="true" t="shared" si="4" ref="H10:H17">F10/E10*100</f>
        <v>69.7333949662196</v>
      </c>
      <c r="I10" s="56">
        <f t="shared" si="1"/>
        <v>-353195.74</v>
      </c>
      <c r="J10" s="56">
        <f t="shared" si="2"/>
        <v>15.577372168210529</v>
      </c>
      <c r="K10" s="141">
        <f>F10-85215.1</f>
        <v>-20044.640000000007</v>
      </c>
      <c r="L10" s="142">
        <f>F10/85215.1</f>
        <v>0.7647759610679328</v>
      </c>
      <c r="M10" s="40">
        <f>E10-лютий!E10</f>
        <v>33586.40000000001</v>
      </c>
      <c r="N10" s="40">
        <f>F10-лютий!F10</f>
        <v>10424.470000000001</v>
      </c>
      <c r="O10" s="53">
        <f t="shared" si="3"/>
        <v>-23161.930000000008</v>
      </c>
      <c r="P10" s="56">
        <f aca="true" t="shared" si="5" ref="P10:P17">N10/M10*100</f>
        <v>31.037771240740298</v>
      </c>
      <c r="Q10" s="141">
        <f>N10-30092.3</f>
        <v>-19667.829999999998</v>
      </c>
      <c r="R10" s="142">
        <f>N10/30092.3</f>
        <v>0.3464165251575985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781.34</v>
      </c>
      <c r="G19" s="49">
        <f t="shared" si="0"/>
        <v>-447.2599999999999</v>
      </c>
      <c r="H19" s="40">
        <f aca="true" t="shared" si="6" ref="H19:H29">F19/E19*100</f>
        <v>63.59596288458409</v>
      </c>
      <c r="I19" s="56">
        <f aca="true" t="shared" si="7" ref="I19:I29">F19-D19</f>
        <v>-5218.66</v>
      </c>
      <c r="J19" s="56">
        <f aca="true" t="shared" si="8" ref="J19:J29">F19/D19*100</f>
        <v>13.022333333333332</v>
      </c>
      <c r="K19" s="56">
        <f>F19-4285.5</f>
        <v>-3504.16</v>
      </c>
      <c r="L19" s="135">
        <f>F19/4285.5</f>
        <v>0.18232178275580446</v>
      </c>
      <c r="M19" s="40">
        <f>E19-лютий!E19</f>
        <v>510.9999999999999</v>
      </c>
      <c r="N19" s="40">
        <f>F19-лютий!F19</f>
        <v>42.23000000000002</v>
      </c>
      <c r="O19" s="53">
        <f t="shared" si="3"/>
        <v>-468.76999999999987</v>
      </c>
      <c r="P19" s="56">
        <f aca="true" t="shared" si="9" ref="P19:P29">N19/M19*100</f>
        <v>8.264187866927598</v>
      </c>
      <c r="Q19" s="56">
        <f>N19-409.4</f>
        <v>-367.16999999999996</v>
      </c>
      <c r="R19" s="135">
        <f>N19/409.4</f>
        <v>0.1031509526135809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717.64</v>
      </c>
      <c r="G29" s="49">
        <f t="shared" si="0"/>
        <v>-10.960000000000036</v>
      </c>
      <c r="H29" s="40">
        <f t="shared" si="6"/>
        <v>98.49574526489157</v>
      </c>
      <c r="I29" s="56">
        <f t="shared" si="7"/>
        <v>-2282.36</v>
      </c>
      <c r="J29" s="56">
        <f t="shared" si="8"/>
        <v>23.921333333333333</v>
      </c>
      <c r="K29" s="148">
        <f>F29-731.3</f>
        <v>-13.659999999999968</v>
      </c>
      <c r="L29" s="149">
        <f>F29/731.3</f>
        <v>0.9813209353206619</v>
      </c>
      <c r="M29" s="146">
        <f>E29-лютий!E29</f>
        <v>12.600000000000023</v>
      </c>
      <c r="N29" s="146">
        <f>F29-лютий!F29</f>
        <v>0</v>
      </c>
      <c r="O29" s="148">
        <f t="shared" si="3"/>
        <v>-12.600000000000023</v>
      </c>
      <c r="P29" s="145">
        <f t="shared" si="9"/>
        <v>0</v>
      </c>
      <c r="Q29" s="145">
        <f>N29-408.7</f>
        <v>-408.7</v>
      </c>
      <c r="R29" s="196">
        <f>N29/408.7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13479.43</v>
      </c>
      <c r="G33" s="49">
        <f aca="true" t="shared" si="14" ref="G33:G72">F33-E33</f>
        <v>-5379.07</v>
      </c>
      <c r="H33" s="40">
        <f aca="true" t="shared" si="15" ref="H33:H67">F33/E33*100</f>
        <v>71.47668160246043</v>
      </c>
      <c r="I33" s="56">
        <f>F33-D33</f>
        <v>-74586.57</v>
      </c>
      <c r="J33" s="56">
        <f aca="true" t="shared" si="16" ref="J33:J72">F33/D33*100</f>
        <v>15.306054549996595</v>
      </c>
      <c r="K33" s="141">
        <f>F33-19762.7</f>
        <v>-6283.27</v>
      </c>
      <c r="L33" s="142">
        <f>F33/19762.7</f>
        <v>0.6820641916337342</v>
      </c>
      <c r="M33" s="40">
        <f>E33-лютий!E33</f>
        <v>6470.299999999999</v>
      </c>
      <c r="N33" s="40">
        <f>F33-лютий!F33</f>
        <v>722.4300000000003</v>
      </c>
      <c r="O33" s="53">
        <f t="shared" si="3"/>
        <v>-5747.869999999999</v>
      </c>
      <c r="P33" s="56">
        <f aca="true" t="shared" si="17" ref="P33:P67">N33/M33*100</f>
        <v>11.16532463718839</v>
      </c>
      <c r="Q33" s="141">
        <f>N33-7227.1</f>
        <v>-6504.67</v>
      </c>
      <c r="R33" s="142">
        <f>N33/7227.1</f>
        <v>0.09996125693570039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10133.08</v>
      </c>
      <c r="G55" s="144">
        <f t="shared" si="14"/>
        <v>-3885.119999999999</v>
      </c>
      <c r="H55" s="146">
        <f t="shared" si="15"/>
        <v>72.28517213336949</v>
      </c>
      <c r="I55" s="145">
        <f t="shared" si="18"/>
        <v>-56132.92</v>
      </c>
      <c r="J55" s="145">
        <f t="shared" si="16"/>
        <v>15.291522047505508</v>
      </c>
      <c r="K55" s="148">
        <f>F55-14615.9</f>
        <v>-4482.82</v>
      </c>
      <c r="L55" s="149">
        <f>F55/14615.9</f>
        <v>0.6932915523505224</v>
      </c>
      <c r="M55" s="146">
        <f>E55-лютий!E55</f>
        <v>4518.199999999999</v>
      </c>
      <c r="N55" s="146">
        <f>F55-лютий!F55</f>
        <v>652.9699999999993</v>
      </c>
      <c r="O55" s="148">
        <f t="shared" si="3"/>
        <v>-3865.2299999999996</v>
      </c>
      <c r="P55" s="148">
        <f t="shared" si="17"/>
        <v>14.451994156965153</v>
      </c>
      <c r="Q55" s="194">
        <f>N55-4813.8</f>
        <v>-4160.830000000001</v>
      </c>
      <c r="R55" s="195">
        <f>N55/4813.8</f>
        <v>0.13564543603805712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1479.54</v>
      </c>
      <c r="G56" s="49">
        <f t="shared" si="14"/>
        <v>-205.55999999999995</v>
      </c>
      <c r="H56" s="40">
        <f t="shared" si="15"/>
        <v>87.80131742923268</v>
      </c>
      <c r="I56" s="56">
        <f t="shared" si="18"/>
        <v>-5380.46</v>
      </c>
      <c r="J56" s="56">
        <f t="shared" si="16"/>
        <v>21.567638483965016</v>
      </c>
      <c r="K56" s="56">
        <f>F56-1629.5</f>
        <v>-149.96000000000004</v>
      </c>
      <c r="L56" s="135">
        <f>F56/1629.5</f>
        <v>0.9079717704817428</v>
      </c>
      <c r="M56" s="40">
        <f>E56-лютий!E56</f>
        <v>605.3999999999999</v>
      </c>
      <c r="N56" s="40">
        <f>F56-лютий!F56</f>
        <v>412.0799999999999</v>
      </c>
      <c r="O56" s="53">
        <f t="shared" si="3"/>
        <v>-193.31999999999994</v>
      </c>
      <c r="P56" s="56">
        <f t="shared" si="17"/>
        <v>68.06739345887017</v>
      </c>
      <c r="Q56" s="56">
        <f>N56-609.7</f>
        <v>-197.62000000000012</v>
      </c>
      <c r="R56" s="135">
        <f>N56/609.7</f>
        <v>0.6758733803509921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2822.6199999999994</v>
      </c>
      <c r="G74" s="50">
        <f aca="true" t="shared" si="24" ref="G74:G92">F74-E74</f>
        <v>-9.380000000000564</v>
      </c>
      <c r="H74" s="51">
        <f aca="true" t="shared" si="25" ref="H74:H87">F74/E74*100</f>
        <v>99.66878531073445</v>
      </c>
      <c r="I74" s="36">
        <f aca="true" t="shared" si="26" ref="I74:I92">F74-D74</f>
        <v>-14842.98</v>
      </c>
      <c r="J74" s="36">
        <f aca="true" t="shared" si="27" ref="J74:J92">F74/D74*100</f>
        <v>15.978059052622044</v>
      </c>
      <c r="K74" s="36">
        <f>F74-3848.8</f>
        <v>-1026.1800000000007</v>
      </c>
      <c r="L74" s="136">
        <f>F74/3848.8</f>
        <v>0.7333766368738306</v>
      </c>
      <c r="M74" s="22">
        <f>M77+M86+M88+M89+M94+M95+M96+M97+M99+M87+M103</f>
        <v>965</v>
      </c>
      <c r="N74" s="22">
        <f>N77+N86+N88+N89+N94+N95+N96+N97+N99+N32+N103+N87</f>
        <v>718.0999999999999</v>
      </c>
      <c r="O74" s="55">
        <f aca="true" t="shared" si="28" ref="O74:O92">N74-M74</f>
        <v>-246.9000000000001</v>
      </c>
      <c r="P74" s="36">
        <f>N74/M74*100</f>
        <v>74.41450777202071</v>
      </c>
      <c r="Q74" s="36">
        <f>N74-1138.4</f>
        <v>-420.3000000000002</v>
      </c>
      <c r="R74" s="136">
        <f>N74/1138.4</f>
        <v>0.6307976106816583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98.93</v>
      </c>
      <c r="G87" s="49">
        <f t="shared" si="24"/>
        <v>98.93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1.5500000000000114</v>
      </c>
      <c r="O87" s="53">
        <f t="shared" si="28"/>
        <v>1.5500000000000114</v>
      </c>
      <c r="P87" s="56" t="e">
        <f t="shared" si="29"/>
        <v>#DIV/0!</v>
      </c>
      <c r="Q87" s="56">
        <f>N87-0</f>
        <v>1.5500000000000114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22.49</v>
      </c>
      <c r="G89" s="49">
        <f t="shared" si="24"/>
        <v>-16.51</v>
      </c>
      <c r="H89" s="40">
        <f>F89/E89*100</f>
        <v>57.666666666666664</v>
      </c>
      <c r="I89" s="56">
        <f t="shared" si="26"/>
        <v>-152.51</v>
      </c>
      <c r="J89" s="56">
        <f t="shared" si="27"/>
        <v>12.851428571428569</v>
      </c>
      <c r="K89" s="56">
        <f>F89-47.5</f>
        <v>-25.01</v>
      </c>
      <c r="L89" s="135">
        <f>F89/47.5</f>
        <v>0.47347368421052627</v>
      </c>
      <c r="M89" s="40">
        <f>E89-лютий!E89</f>
        <v>15</v>
      </c>
      <c r="N89" s="40">
        <f>F89-лютий!F89</f>
        <v>3.0799999999999983</v>
      </c>
      <c r="O89" s="53">
        <f t="shared" si="28"/>
        <v>-11.920000000000002</v>
      </c>
      <c r="P89" s="56">
        <f>N89/M89*100</f>
        <v>20.533333333333324</v>
      </c>
      <c r="Q89" s="56">
        <f>N89-15.9</f>
        <v>-12.820000000000002</v>
      </c>
      <c r="R89" s="135">
        <f>N89/15.9</f>
        <v>0.19371069182389927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1710.35</v>
      </c>
      <c r="G95" s="49">
        <f t="shared" si="31"/>
        <v>33.84999999999991</v>
      </c>
      <c r="H95" s="40">
        <f>F95/E95*100</f>
        <v>102.01908738443184</v>
      </c>
      <c r="I95" s="56">
        <f t="shared" si="32"/>
        <v>-4589.65</v>
      </c>
      <c r="J95" s="56">
        <f>F95/D95*100</f>
        <v>27.1484126984127</v>
      </c>
      <c r="K95" s="56">
        <f>F95-1478.7</f>
        <v>231.64999999999986</v>
      </c>
      <c r="L95" s="135">
        <f>F95/1478.7</f>
        <v>1.156657875160614</v>
      </c>
      <c r="M95" s="40">
        <f>E95-лютий!E95</f>
        <v>515</v>
      </c>
      <c r="N95" s="40">
        <f>F95-лютий!F95</f>
        <v>520.4299999999998</v>
      </c>
      <c r="O95" s="53">
        <f t="shared" si="33"/>
        <v>5.429999999999836</v>
      </c>
      <c r="P95" s="56">
        <f>N95/M95*100</f>
        <v>101.05436893203881</v>
      </c>
      <c r="Q95" s="56">
        <f>N95-653.7</f>
        <v>-133.2700000000002</v>
      </c>
      <c r="R95" s="135">
        <f>N95/653.7</f>
        <v>0.7961297231145782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158.29</v>
      </c>
      <c r="G96" s="49">
        <f t="shared" si="31"/>
        <v>-66.21000000000001</v>
      </c>
      <c r="H96" s="40">
        <f>F96/E96*100</f>
        <v>70.50779510022271</v>
      </c>
      <c r="I96" s="56">
        <f t="shared" si="32"/>
        <v>-1041.71</v>
      </c>
      <c r="J96" s="56">
        <f>F96/D96*100</f>
        <v>13.190833333333332</v>
      </c>
      <c r="K96" s="56">
        <f>F96-161.5</f>
        <v>-3.210000000000008</v>
      </c>
      <c r="L96" s="135">
        <f>F96/161.5</f>
        <v>0.9801238390092879</v>
      </c>
      <c r="M96" s="40">
        <f>E96-лютий!E96</f>
        <v>80</v>
      </c>
      <c r="N96" s="40">
        <f>F96-лютий!F96</f>
        <v>31.749999999999986</v>
      </c>
      <c r="O96" s="53">
        <f t="shared" si="33"/>
        <v>-48.250000000000014</v>
      </c>
      <c r="P96" s="56">
        <f>N96/M96*100</f>
        <v>39.68749999999998</v>
      </c>
      <c r="Q96" s="56">
        <f>N96-101.5</f>
        <v>-69.75000000000001</v>
      </c>
      <c r="R96" s="135">
        <f>N96/101.5</f>
        <v>0.31280788177339885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805.25</v>
      </c>
      <c r="G99" s="49">
        <f t="shared" si="31"/>
        <v>28.25</v>
      </c>
      <c r="H99" s="40">
        <f>F99/E99*100</f>
        <v>103.63577863577864</v>
      </c>
      <c r="I99" s="56">
        <f t="shared" si="32"/>
        <v>-3074.75</v>
      </c>
      <c r="J99" s="56">
        <f>F99/D99*100</f>
        <v>20.753865979381445</v>
      </c>
      <c r="K99" s="56">
        <f>F99-730.6</f>
        <v>74.64999999999998</v>
      </c>
      <c r="L99" s="135">
        <f>F99/730.6</f>
        <v>1.1021762934574322</v>
      </c>
      <c r="M99" s="40">
        <f>E99-лютий!E99</f>
        <v>250</v>
      </c>
      <c r="N99" s="40">
        <f>F99-лютий!F99</f>
        <v>153.25</v>
      </c>
      <c r="O99" s="53">
        <f t="shared" si="33"/>
        <v>-96.75</v>
      </c>
      <c r="P99" s="56">
        <f>N99/M99*100</f>
        <v>61.3</v>
      </c>
      <c r="Q99" s="56">
        <f>N99-242.1</f>
        <v>-88.85</v>
      </c>
      <c r="R99" s="135">
        <f>N99/242.1</f>
        <v>0.6330028913672037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153</v>
      </c>
      <c r="G102" s="144"/>
      <c r="H102" s="146"/>
      <c r="I102" s="145"/>
      <c r="J102" s="145"/>
      <c r="K102" s="148">
        <f>F102-88.6</f>
        <v>64.4</v>
      </c>
      <c r="L102" s="149">
        <f>F102/88.6</f>
        <v>1.72686230248307</v>
      </c>
      <c r="M102" s="40">
        <f>E102-лютий!E102</f>
        <v>0</v>
      </c>
      <c r="N102" s="40">
        <f>F102-лютий!F102</f>
        <v>22.900000000000006</v>
      </c>
      <c r="O102" s="53"/>
      <c r="P102" s="60"/>
      <c r="Q102" s="60">
        <f>N102-31.4</f>
        <v>-8.499999999999993</v>
      </c>
      <c r="R102" s="135">
        <f>N102/31.4</f>
        <v>0.729299363057325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2.68</v>
      </c>
      <c r="G104" s="49">
        <f>F104-E104</f>
        <v>-3.52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F104-12.1</f>
        <v>-9.42</v>
      </c>
      <c r="L104" s="135">
        <f>F104/12.1</f>
        <v>0.22148760330578515</v>
      </c>
      <c r="M104" s="40">
        <f>E104-лютий!E104</f>
        <v>2</v>
      </c>
      <c r="N104" s="40">
        <f>F104-лютий!F104</f>
        <v>0</v>
      </c>
      <c r="O104" s="53">
        <f t="shared" si="35"/>
        <v>-2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83739.79999999999</v>
      </c>
      <c r="G106" s="50">
        <f>F106-E106</f>
        <v>-34336.30000000003</v>
      </c>
      <c r="H106" s="51">
        <f>F106/E106*100</f>
        <v>70.92019468800204</v>
      </c>
      <c r="I106" s="36">
        <f t="shared" si="34"/>
        <v>-453300.10000000003</v>
      </c>
      <c r="J106" s="36">
        <f t="shared" si="36"/>
        <v>15.592845149866887</v>
      </c>
      <c r="K106" s="36">
        <f>F106-114781.4</f>
        <v>-31041.600000000006</v>
      </c>
      <c r="L106" s="136">
        <f>F106/114781.4</f>
        <v>0.7295589703558242</v>
      </c>
      <c r="M106" s="22">
        <f>M8+M74+M104+M105</f>
        <v>42140.10000000001</v>
      </c>
      <c r="N106" s="22">
        <f>N8+N74+N104+N105</f>
        <v>12319.340000000002</v>
      </c>
      <c r="O106" s="55">
        <f t="shared" si="35"/>
        <v>-29820.76000000001</v>
      </c>
      <c r="P106" s="36">
        <f>N106/M106*100</f>
        <v>29.234244816694783</v>
      </c>
      <c r="Q106" s="36">
        <f>N106-39480.5</f>
        <v>-27161.159999999996</v>
      </c>
      <c r="R106" s="136">
        <f>N106/39480.5</f>
        <v>0.3120360684388496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65328.75</v>
      </c>
      <c r="G107" s="71">
        <f>G10-G18+G96</f>
        <v>-28352.350000000006</v>
      </c>
      <c r="H107" s="72">
        <f>F107/E107*100</f>
        <v>69.73525076029209</v>
      </c>
      <c r="I107" s="52">
        <f t="shared" si="34"/>
        <v>-354237.45</v>
      </c>
      <c r="J107" s="52">
        <f t="shared" si="36"/>
        <v>15.570546435818711</v>
      </c>
      <c r="K107" s="52">
        <f>F107-85425.6</f>
        <v>-20096.850000000006</v>
      </c>
      <c r="L107" s="137">
        <f>F107/85425.6</f>
        <v>0.7647444091700848</v>
      </c>
      <c r="M107" s="71">
        <f>M10-M18+M96</f>
        <v>33666.40000000001</v>
      </c>
      <c r="N107" s="71">
        <f>N10-N18+N96</f>
        <v>10456.220000000001</v>
      </c>
      <c r="O107" s="53">
        <f t="shared" si="35"/>
        <v>-23210.180000000008</v>
      </c>
      <c r="P107" s="52">
        <f>N107/M107*100</f>
        <v>31.05832521445714</v>
      </c>
      <c r="Q107" s="52">
        <f>N107-30211.8</f>
        <v>-19755.579999999998</v>
      </c>
      <c r="R107" s="137">
        <f>N107/30211.8</f>
        <v>0.3460972202914094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18411.04999999999</v>
      </c>
      <c r="G108" s="62">
        <f>F108-E108</f>
        <v>-5983.950000000026</v>
      </c>
      <c r="H108" s="72">
        <f>F108/E108*100</f>
        <v>75.47058823529402</v>
      </c>
      <c r="I108" s="52">
        <f t="shared" si="34"/>
        <v>-99062.65000000002</v>
      </c>
      <c r="J108" s="52">
        <f t="shared" si="36"/>
        <v>15.672486692766114</v>
      </c>
      <c r="K108" s="52">
        <f>F108-29355.8</f>
        <v>-10944.750000000011</v>
      </c>
      <c r="L108" s="137">
        <f>F108/29355.8</f>
        <v>0.6271690773203248</v>
      </c>
      <c r="M108" s="71">
        <f>M106-M107</f>
        <v>8473.700000000004</v>
      </c>
      <c r="N108" s="71">
        <f>N106-N107</f>
        <v>1863.1200000000008</v>
      </c>
      <c r="O108" s="53">
        <f t="shared" si="35"/>
        <v>-6610.580000000004</v>
      </c>
      <c r="P108" s="52">
        <f>N108/M108*100</f>
        <v>21.987089465050687</v>
      </c>
      <c r="Q108" s="52">
        <f>N108-9268.6</f>
        <v>-7405.48</v>
      </c>
      <c r="R108" s="137">
        <f>N108/9268.6</f>
        <v>0.20101417689834503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65328.75</v>
      </c>
      <c r="G109" s="111">
        <f>F109-E109</f>
        <v>-28352.350000000006</v>
      </c>
      <c r="H109" s="72">
        <f>F109/E109*100</f>
        <v>69.73525076029209</v>
      </c>
      <c r="I109" s="81">
        <f t="shared" si="34"/>
        <v>-354237.45</v>
      </c>
      <c r="J109" s="52">
        <f t="shared" si="36"/>
        <v>15.570546435818711</v>
      </c>
      <c r="K109" s="52"/>
      <c r="L109" s="137"/>
      <c r="M109" s="122">
        <f>E109-лютий!E109</f>
        <v>33666.40000000001</v>
      </c>
      <c r="N109" s="71">
        <f>N107</f>
        <v>10456.220000000001</v>
      </c>
      <c r="O109" s="118">
        <f t="shared" si="35"/>
        <v>-23210.180000000008</v>
      </c>
      <c r="P109" s="52">
        <f>N109/M109*100</f>
        <v>31.05832521445714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3879.803</v>
      </c>
      <c r="G110" s="62">
        <f>F110-E110</f>
        <v>-990.5969999999998</v>
      </c>
      <c r="H110" s="72"/>
      <c r="I110" s="85">
        <f t="shared" si="34"/>
        <v>-990.5770000000002</v>
      </c>
      <c r="J110" s="52"/>
      <c r="K110" s="52"/>
      <c r="L110" s="137"/>
      <c r="M110" s="40">
        <f>E110-лютий!E110</f>
        <v>1650.9889999999996</v>
      </c>
      <c r="N110" s="71">
        <f>F110-лютий!F110</f>
        <v>660.3919999999998</v>
      </c>
      <c r="O110" s="86">
        <f>N110-M110</f>
        <v>-990.5969999999998</v>
      </c>
      <c r="P110" s="52">
        <f>N110/M110*100</f>
        <v>39.99978194888033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-2.97</v>
      </c>
      <c r="G113" s="49">
        <f aca="true" t="shared" si="37" ref="G113:G125">F113-E113</f>
        <v>-2.97</v>
      </c>
      <c r="H113" s="40"/>
      <c r="I113" s="60">
        <f aca="true" t="shared" si="38" ref="I113:I124">F113-D113</f>
        <v>-2.97</v>
      </c>
      <c r="J113" s="60"/>
      <c r="K113" s="60">
        <f>F113-4.6</f>
        <v>-7.57</v>
      </c>
      <c r="L113" s="138">
        <f>F113/4.6</f>
        <v>-0.6456521739130435</v>
      </c>
      <c r="M113" s="40">
        <f>E113-лютий!E113</f>
        <v>0</v>
      </c>
      <c r="N113" s="40">
        <f>F113-лютий!F113</f>
        <v>-0.3600000000000003</v>
      </c>
      <c r="O113" s="53"/>
      <c r="P113" s="60"/>
      <c r="Q113" s="60">
        <f>N113-0.5</f>
        <v>-0.8600000000000003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199.48</v>
      </c>
      <c r="G114" s="49">
        <f t="shared" si="37"/>
        <v>-515.12</v>
      </c>
      <c r="H114" s="40">
        <f aca="true" t="shared" si="39" ref="H114:H125">F114/E114*100</f>
        <v>27.91491743632801</v>
      </c>
      <c r="I114" s="60">
        <f t="shared" si="38"/>
        <v>-3472.02</v>
      </c>
      <c r="J114" s="60">
        <f aca="true" t="shared" si="40" ref="J114:J120">F114/D114*100</f>
        <v>5.433201688683099</v>
      </c>
      <c r="K114" s="60">
        <f>F114-834.4</f>
        <v>-634.92</v>
      </c>
      <c r="L114" s="138">
        <f>F114/834.4</f>
        <v>0.23906999041227228</v>
      </c>
      <c r="M114" s="40">
        <f>E114-лютий!E114</f>
        <v>327.5</v>
      </c>
      <c r="N114" s="40">
        <f>F114-лютий!F114</f>
        <v>20.23999999999998</v>
      </c>
      <c r="O114" s="53">
        <f aca="true" t="shared" si="41" ref="O114:O125">N114-M114</f>
        <v>-307.26</v>
      </c>
      <c r="P114" s="60">
        <f>N114/M114*100</f>
        <v>6.180152671755719</v>
      </c>
      <c r="Q114" s="60">
        <f>N114-228.9</f>
        <v>-208.66000000000003</v>
      </c>
      <c r="R114" s="138">
        <f>N114/228.9</f>
        <v>0.08842289209261678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64.35</v>
      </c>
      <c r="G115" s="49">
        <f t="shared" si="37"/>
        <v>-4.150000000000006</v>
      </c>
      <c r="H115" s="40">
        <f t="shared" si="39"/>
        <v>93.94160583941606</v>
      </c>
      <c r="I115" s="60">
        <f t="shared" si="38"/>
        <v>-203.75000000000003</v>
      </c>
      <c r="J115" s="60">
        <f t="shared" si="40"/>
        <v>24.002237970906375</v>
      </c>
      <c r="K115" s="60">
        <f>F115-63.4</f>
        <v>0.9499999999999957</v>
      </c>
      <c r="L115" s="138">
        <f>F115/63.4</f>
        <v>1.0149842271293374</v>
      </c>
      <c r="M115" s="40">
        <f>E115-лютий!E115</f>
        <v>22</v>
      </c>
      <c r="N115" s="40">
        <f>F115-лютий!F115</f>
        <v>17.659999999999997</v>
      </c>
      <c r="O115" s="53">
        <f t="shared" si="41"/>
        <v>-4.340000000000003</v>
      </c>
      <c r="P115" s="60">
        <f>N115/M115*100</f>
        <v>80.27272727272727</v>
      </c>
      <c r="Q115" s="60">
        <f>N115-24.1</f>
        <v>-6.440000000000005</v>
      </c>
      <c r="R115" s="138">
        <f>N115/24.1</f>
        <v>0.7327800829875517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260.86</v>
      </c>
      <c r="G116" s="62">
        <f t="shared" si="37"/>
        <v>-522.24</v>
      </c>
      <c r="H116" s="72">
        <f t="shared" si="39"/>
        <v>33.31119908057719</v>
      </c>
      <c r="I116" s="61">
        <f t="shared" si="38"/>
        <v>-3678.74</v>
      </c>
      <c r="J116" s="61">
        <f t="shared" si="40"/>
        <v>6.621484414661387</v>
      </c>
      <c r="K116" s="61">
        <f>F116-902.4</f>
        <v>-641.54</v>
      </c>
      <c r="L116" s="139">
        <f>F116/902.4</f>
        <v>0.28907358156028373</v>
      </c>
      <c r="M116" s="62">
        <f>M114+M115+M113</f>
        <v>349.5</v>
      </c>
      <c r="N116" s="38">
        <f>SUM(N113:N115)</f>
        <v>37.53999999999998</v>
      </c>
      <c r="O116" s="61">
        <f t="shared" si="41"/>
        <v>-311.96000000000004</v>
      </c>
      <c r="P116" s="61">
        <f>N116/M116*100</f>
        <v>10.741058655221739</v>
      </c>
      <c r="Q116" s="61">
        <f>N116-253.5</f>
        <v>-215.96000000000004</v>
      </c>
      <c r="R116" s="139">
        <f>N116/253.5</f>
        <v>0.14808678500986183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58.72</v>
      </c>
      <c r="G118" s="49">
        <f t="shared" si="37"/>
        <v>58.72</v>
      </c>
      <c r="H118" s="40" t="e">
        <f t="shared" si="39"/>
        <v>#DIV/0!</v>
      </c>
      <c r="I118" s="60">
        <f t="shared" si="38"/>
        <v>58.72</v>
      </c>
      <c r="J118" s="60" t="e">
        <f t="shared" si="40"/>
        <v>#DIV/0!</v>
      </c>
      <c r="K118" s="60">
        <f>F118-7.7</f>
        <v>51.019999999999996</v>
      </c>
      <c r="L118" s="138">
        <f>F118/7.7</f>
        <v>7.625974025974026</v>
      </c>
      <c r="M118" s="40">
        <f>E118-лютий!E118</f>
        <v>0</v>
      </c>
      <c r="N118" s="40">
        <f>F118-лютий!F118</f>
        <v>1.3299999999999983</v>
      </c>
      <c r="O118" s="53" t="s">
        <v>166</v>
      </c>
      <c r="P118" s="60"/>
      <c r="Q118" s="60">
        <f>N118-2.5</f>
        <v>-1.1700000000000017</v>
      </c>
      <c r="R118" s="138">
        <f>N118/2.5</f>
        <v>0.5319999999999994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17886.98</v>
      </c>
      <c r="G119" s="49">
        <f t="shared" si="37"/>
        <v>-725.619999999999</v>
      </c>
      <c r="H119" s="40">
        <f t="shared" si="39"/>
        <v>96.10145815200455</v>
      </c>
      <c r="I119" s="53">
        <f t="shared" si="38"/>
        <v>-8100.404999999999</v>
      </c>
      <c r="J119" s="60">
        <f t="shared" si="40"/>
        <v>68.82947245365396</v>
      </c>
      <c r="K119" s="60">
        <f>F119-17244.2</f>
        <v>642.7799999999988</v>
      </c>
      <c r="L119" s="138">
        <f>F119/17244.2</f>
        <v>1.0372751417868036</v>
      </c>
      <c r="M119" s="40">
        <f>E119-лютий!E119</f>
        <v>3092.999999999998</v>
      </c>
      <c r="N119" s="40">
        <f>F119-лютий!F119</f>
        <v>1005.6399999999994</v>
      </c>
      <c r="O119" s="53">
        <f t="shared" si="41"/>
        <v>-2087.3599999999988</v>
      </c>
      <c r="P119" s="60">
        <f aca="true" t="shared" si="42" ref="P119:P124">N119/M119*100</f>
        <v>32.51341739411575</v>
      </c>
      <c r="Q119" s="60">
        <f>N119-2792.9</f>
        <v>-1787.2600000000007</v>
      </c>
      <c r="R119" s="138">
        <f>N119/2792.9</f>
        <v>0.36007017795123325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475.93</v>
      </c>
      <c r="G120" s="49">
        <f t="shared" si="37"/>
        <v>475.93</v>
      </c>
      <c r="H120" s="40" t="e">
        <f t="shared" si="39"/>
        <v>#DIV/0!</v>
      </c>
      <c r="I120" s="60">
        <f t="shared" si="38"/>
        <v>475.93</v>
      </c>
      <c r="J120" s="60" t="e">
        <f t="shared" si="40"/>
        <v>#DIV/0!</v>
      </c>
      <c r="K120" s="60">
        <f>F120-280.5</f>
        <v>195.43</v>
      </c>
      <c r="L120" s="138">
        <f>F120/230.5</f>
        <v>2.064772234273319</v>
      </c>
      <c r="M120" s="40">
        <f>E120-лютий!E120</f>
        <v>0</v>
      </c>
      <c r="N120" s="40">
        <f>F120-лютий!F120</f>
        <v>0.03000000000002956</v>
      </c>
      <c r="O120" s="53">
        <f t="shared" si="41"/>
        <v>0.03000000000002956</v>
      </c>
      <c r="P120" s="60" t="e">
        <f t="shared" si="42"/>
        <v>#DIV/0!</v>
      </c>
      <c r="Q120" s="60">
        <f>N120-0</f>
        <v>0.03000000000002956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1105.79</v>
      </c>
      <c r="G121" s="49">
        <f t="shared" si="37"/>
        <v>1105.79</v>
      </c>
      <c r="H121" s="40" t="e">
        <f t="shared" si="39"/>
        <v>#DIV/0!</v>
      </c>
      <c r="I121" s="60">
        <f t="shared" si="38"/>
        <v>1105.79</v>
      </c>
      <c r="J121" s="60" t="e">
        <f>F121/D121*100</f>
        <v>#DIV/0!</v>
      </c>
      <c r="K121" s="60">
        <f>F121-6993.4</f>
        <v>-5887.61</v>
      </c>
      <c r="L121" s="138">
        <f>F121/6993.4</f>
        <v>0.15811908370749564</v>
      </c>
      <c r="M121" s="40">
        <f>E121-лютий!E121</f>
        <v>0</v>
      </c>
      <c r="N121" s="40">
        <f>F121-лютий!F121</f>
        <v>62.61999999999989</v>
      </c>
      <c r="O121" s="53">
        <f t="shared" si="41"/>
        <v>62.61999999999989</v>
      </c>
      <c r="P121" s="60" t="e">
        <f t="shared" si="42"/>
        <v>#DIV/0!</v>
      </c>
      <c r="Q121" s="60">
        <f>N121-6463.4</f>
        <v>-6400.78</v>
      </c>
      <c r="R121" s="138">
        <f>N121/6463.4</f>
        <v>0.009688399294488953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138.41</v>
      </c>
      <c r="G122" s="49">
        <f t="shared" si="37"/>
        <v>138.41</v>
      </c>
      <c r="H122" s="40" t="e">
        <f t="shared" si="39"/>
        <v>#DIV/0!</v>
      </c>
      <c r="I122" s="60">
        <f t="shared" si="38"/>
        <v>138.41</v>
      </c>
      <c r="J122" s="60" t="e">
        <f>F122/D122*100</f>
        <v>#DIV/0!</v>
      </c>
      <c r="K122" s="60">
        <f>F122-314.5</f>
        <v>-176.09</v>
      </c>
      <c r="L122" s="138">
        <f>F122/314.5</f>
        <v>0.4400953895071542</v>
      </c>
      <c r="M122" s="40">
        <f>E122-лютий!E122</f>
        <v>0</v>
      </c>
      <c r="N122" s="40">
        <f>F122-лютий!F122</f>
        <v>51.00999999999999</v>
      </c>
      <c r="O122" s="53">
        <f t="shared" si="41"/>
        <v>51.00999999999999</v>
      </c>
      <c r="P122" s="60" t="e">
        <f t="shared" si="42"/>
        <v>#DIV/0!</v>
      </c>
      <c r="Q122" s="60">
        <f>N122-7.7</f>
        <v>43.30999999999999</v>
      </c>
      <c r="R122" s="138">
        <f>N122/7.7</f>
        <v>6.624675324675323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19665.83</v>
      </c>
      <c r="G123" s="62">
        <f t="shared" si="37"/>
        <v>1053.2300000000032</v>
      </c>
      <c r="H123" s="72">
        <f t="shared" si="39"/>
        <v>105.65869357317088</v>
      </c>
      <c r="I123" s="61">
        <f t="shared" si="38"/>
        <v>-6321.554999999997</v>
      </c>
      <c r="J123" s="61">
        <f>F123/D123*100</f>
        <v>75.67452438942973</v>
      </c>
      <c r="K123" s="61">
        <f>F123-24840.3</f>
        <v>-5174.4699999999975</v>
      </c>
      <c r="L123" s="139">
        <f>F123/24840.3</f>
        <v>0.7916905190355995</v>
      </c>
      <c r="M123" s="62">
        <f>M119+M120+M121+M122+M118</f>
        <v>3092.999999999998</v>
      </c>
      <c r="N123" s="62">
        <f>N119+N120+N121+N122+N118</f>
        <v>1120.6299999999992</v>
      </c>
      <c r="O123" s="61">
        <f t="shared" si="41"/>
        <v>-1972.369999999999</v>
      </c>
      <c r="P123" s="61">
        <f t="shared" si="42"/>
        <v>36.23116715163272</v>
      </c>
      <c r="Q123" s="61">
        <f>N123-9266.6</f>
        <v>-8145.970000000001</v>
      </c>
      <c r="R123" s="139">
        <f>N123/9266.6</f>
        <v>0.12093216497960407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0.16</v>
      </c>
      <c r="G124" s="49">
        <f t="shared" si="37"/>
        <v>-8</v>
      </c>
      <c r="H124" s="40">
        <f t="shared" si="39"/>
        <v>1.9607843137254901</v>
      </c>
      <c r="I124" s="60">
        <f t="shared" si="38"/>
        <v>-43.34</v>
      </c>
      <c r="J124" s="60">
        <f>F124/D124*100</f>
        <v>0.367816091954023</v>
      </c>
      <c r="K124" s="60">
        <f>F124-97</f>
        <v>-96.84</v>
      </c>
      <c r="L124" s="138">
        <f>F124/97</f>
        <v>0.0016494845360824743</v>
      </c>
      <c r="M124" s="40">
        <f>E124-лютий!E124</f>
        <v>3</v>
      </c>
      <c r="N124" s="40">
        <f>F124-лютий!F124</f>
        <v>0</v>
      </c>
      <c r="O124" s="53">
        <f t="shared" si="41"/>
        <v>-3</v>
      </c>
      <c r="P124" s="60">
        <f>N124/M124*100</f>
        <v>0</v>
      </c>
      <c r="Q124" s="60">
        <f>N124-70.5</f>
        <v>-70.5</v>
      </c>
      <c r="R124" s="138">
        <f>N124/70.5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2603.15</v>
      </c>
      <c r="G127" s="49">
        <f aca="true" t="shared" si="43" ref="G127:G134">F127-E127</f>
        <v>95.65000000000009</v>
      </c>
      <c r="H127" s="40">
        <f>F127/E127*100</f>
        <v>103.81455633100698</v>
      </c>
      <c r="I127" s="60">
        <f aca="true" t="shared" si="44" ref="I127:I134">F127-D127</f>
        <v>-6096.85</v>
      </c>
      <c r="J127" s="60">
        <f>F127/D127*100</f>
        <v>29.921264367816093</v>
      </c>
      <c r="K127" s="60">
        <f>F127-2439.6</f>
        <v>163.55000000000018</v>
      </c>
      <c r="L127" s="138">
        <f>F127/2439.6</f>
        <v>1.067039678635842</v>
      </c>
      <c r="M127" s="40">
        <f>E127-лютий!E127</f>
        <v>0</v>
      </c>
      <c r="N127" s="40">
        <f>F127-лютий!F127</f>
        <v>-881.4899999999998</v>
      </c>
      <c r="O127" s="53">
        <f aca="true" t="shared" si="45" ref="O127:O134">N127-M127</f>
        <v>-881.4899999999998</v>
      </c>
      <c r="P127" s="60" t="e">
        <f>N127/M127*100</f>
        <v>#DIV/0!</v>
      </c>
      <c r="Q127" s="60">
        <f>N127-0.4</f>
        <v>-881.8899999999998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2611.82</v>
      </c>
      <c r="G129" s="62">
        <f t="shared" si="43"/>
        <v>88.96000000000049</v>
      </c>
      <c r="H129" s="72">
        <f>F129/E129*100</f>
        <v>103.52615682201946</v>
      </c>
      <c r="I129" s="61">
        <f t="shared" si="44"/>
        <v>-6138.880000000001</v>
      </c>
      <c r="J129" s="61">
        <f>F129/D129*100</f>
        <v>29.846983669877837</v>
      </c>
      <c r="K129" s="61">
        <f>F129-2544.3</f>
        <v>67.51999999999998</v>
      </c>
      <c r="L129" s="139">
        <f>G129/2544.3</f>
        <v>0.03496443029516978</v>
      </c>
      <c r="M129" s="62">
        <f>M124+M127+M128+M126</f>
        <v>3</v>
      </c>
      <c r="N129" s="62">
        <f>N124+N127+N128+N126</f>
        <v>-881.5099999999998</v>
      </c>
      <c r="O129" s="61">
        <f t="shared" si="45"/>
        <v>-884.5099999999998</v>
      </c>
      <c r="P129" s="61">
        <f>N129/M129*100</f>
        <v>-29383.666666666657</v>
      </c>
      <c r="Q129" s="61">
        <f>N129-69.8</f>
        <v>-951.3099999999997</v>
      </c>
      <c r="R129" s="137">
        <f>N129/69.8</f>
        <v>-12.62908309455587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38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N130-7.3</f>
        <v>-7.3</v>
      </c>
      <c r="R130" s="138">
        <f>N130/7.3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22540.49</v>
      </c>
      <c r="G133" s="50">
        <f t="shared" si="43"/>
        <v>614.0800000000017</v>
      </c>
      <c r="H133" s="51">
        <f>F133/E133*100</f>
        <v>102.8006408709862</v>
      </c>
      <c r="I133" s="36">
        <f t="shared" si="44"/>
        <v>-16167.194999999996</v>
      </c>
      <c r="J133" s="36">
        <f>F133/D133*100</f>
        <v>58.23259644693296</v>
      </c>
      <c r="K133" s="36">
        <f>F133-28295.3</f>
        <v>-5754.809999999998</v>
      </c>
      <c r="L133" s="136">
        <f>F133/28295.3</f>
        <v>0.7966160457743866</v>
      </c>
      <c r="M133" s="31">
        <f>M116+M130+M123+M129+M132+M131</f>
        <v>3452.499999999998</v>
      </c>
      <c r="N133" s="31">
        <f>N116+N130+N123+N129+N132+N131</f>
        <v>276.6599999999994</v>
      </c>
      <c r="O133" s="36">
        <f t="shared" si="45"/>
        <v>-3175.839999999999</v>
      </c>
      <c r="P133" s="36">
        <f>N133/M133*100</f>
        <v>8.013323678493832</v>
      </c>
      <c r="Q133" s="36">
        <f>N133-9597.2</f>
        <v>-9320.54</v>
      </c>
      <c r="R133" s="136">
        <f>N133/9597.2</f>
        <v>0.028827157921060245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106280.29</v>
      </c>
      <c r="G134" s="50">
        <f t="shared" si="43"/>
        <v>-33722.220000000016</v>
      </c>
      <c r="H134" s="51">
        <f>F134/E134*100</f>
        <v>75.91313184313623</v>
      </c>
      <c r="I134" s="36">
        <f t="shared" si="44"/>
        <v>-469467.295</v>
      </c>
      <c r="J134" s="36">
        <f>F134/D134*100</f>
        <v>18.459528579698688</v>
      </c>
      <c r="K134" s="36">
        <f>F134-143076.7</f>
        <v>-36796.41000000002</v>
      </c>
      <c r="L134" s="136">
        <f>F134/143076.7</f>
        <v>0.7428203893436177</v>
      </c>
      <c r="M134" s="22">
        <f>M106+M133</f>
        <v>45592.60000000001</v>
      </c>
      <c r="N134" s="22">
        <f>N106+N133</f>
        <v>12596.000000000002</v>
      </c>
      <c r="O134" s="36">
        <f t="shared" si="45"/>
        <v>-32996.60000000001</v>
      </c>
      <c r="P134" s="36">
        <f>N134/M134*100</f>
        <v>27.627290393616505</v>
      </c>
      <c r="Q134" s="36">
        <f>N134-49077.7</f>
        <v>-36481.7</v>
      </c>
      <c r="R134" s="136">
        <f>N134/49077.7</f>
        <v>0.2566542441882974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12</v>
      </c>
      <c r="D136" s="4" t="s">
        <v>118</v>
      </c>
    </row>
    <row r="137" spans="2:17" ht="31.5">
      <c r="B137" s="78" t="s">
        <v>154</v>
      </c>
      <c r="C137" s="39">
        <f>IF(O106&lt;0,ABS(O106/C136),0)</f>
        <v>2485.063333333334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41711</v>
      </c>
      <c r="D138" s="39">
        <v>1395.1</v>
      </c>
      <c r="N138" s="152"/>
      <c r="O138" s="152"/>
    </row>
    <row r="139" spans="3:15" ht="15.75">
      <c r="C139" s="120">
        <v>41710</v>
      </c>
      <c r="D139" s="39">
        <v>991.5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41709</v>
      </c>
      <c r="D140" s="39">
        <v>725.1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115708.95102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101883.72906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2014-03-14T08:27:10Z</cp:lastPrinted>
  <dcterms:created xsi:type="dcterms:W3CDTF">2003-07-28T11:27:56Z</dcterms:created>
  <dcterms:modified xsi:type="dcterms:W3CDTF">2014-03-14T08:27:11Z</dcterms:modified>
  <cp:category/>
  <cp:version/>
  <cp:contentType/>
  <cp:contentStatus/>
</cp:coreProperties>
</file>